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20" yWindow="60" windowWidth="20730" windowHeight="10980"/>
  </bookViews>
  <sheets>
    <sheet name="Synthetic solution" sheetId="2" r:id="rId1"/>
  </sheets>
  <calcPr calcId="14562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3" i="2" l="1"/>
  <c r="G8" i="2" l="1"/>
  <c r="G7" i="2"/>
  <c r="B29" i="2"/>
  <c r="M27" i="2"/>
  <c r="K16" i="2" l="1"/>
  <c r="J9" i="2"/>
  <c r="M9" i="2" s="1"/>
  <c r="J16" i="2"/>
  <c r="L16" i="2" s="1"/>
  <c r="G34" i="2" l="1"/>
  <c r="K9" i="2"/>
  <c r="B23" i="2" s="1"/>
  <c r="D23" i="2" s="1"/>
  <c r="G42" i="2"/>
  <c r="J10" i="2"/>
  <c r="G40" i="2"/>
  <c r="J26" i="2" s="1"/>
  <c r="J14" i="2"/>
  <c r="K14" i="2" s="1"/>
  <c r="L14" i="2" s="1"/>
  <c r="B28" i="2" s="1"/>
  <c r="J13" i="2"/>
  <c r="K13" i="2" s="1"/>
  <c r="B31" i="2" s="1"/>
  <c r="G38" i="2"/>
  <c r="J12" i="2"/>
  <c r="N12" i="2" s="1"/>
  <c r="J6" i="2"/>
  <c r="K6" i="2" s="1"/>
  <c r="B30" i="2" s="1"/>
  <c r="G31" i="2" s="1"/>
  <c r="J5" i="2"/>
  <c r="K5" i="2" s="1"/>
  <c r="B32" i="2" s="1"/>
  <c r="G30" i="2" s="1"/>
  <c r="J4" i="2"/>
  <c r="N4" i="2" s="1"/>
  <c r="K4" i="2"/>
  <c r="J3" i="2"/>
  <c r="K3" i="2" s="1"/>
  <c r="B26" i="2" s="1"/>
  <c r="G28" i="2" s="1"/>
  <c r="J2" i="2"/>
  <c r="K2" i="2"/>
  <c r="B25" i="2" s="1"/>
  <c r="L6" i="2"/>
  <c r="J15" i="2"/>
  <c r="K15" i="2"/>
  <c r="J11" i="2"/>
  <c r="K11" i="2" s="1"/>
  <c r="L12" i="2"/>
  <c r="L11" i="2"/>
  <c r="L10" i="2"/>
  <c r="L9" i="2"/>
  <c r="J7" i="2"/>
  <c r="K7" i="2"/>
  <c r="L7" i="2" s="1"/>
  <c r="J8" i="2"/>
  <c r="K8" i="2"/>
  <c r="G27" i="2" l="1"/>
  <c r="M28" i="2"/>
  <c r="G33" i="2"/>
  <c r="J28" i="2" s="1"/>
  <c r="M29" i="2"/>
  <c r="F3" i="2"/>
  <c r="L3" i="2"/>
  <c r="G43" i="2"/>
  <c r="E3" i="2"/>
  <c r="L2" i="2"/>
  <c r="G3" i="2" s="1"/>
  <c r="B27" i="2"/>
  <c r="G32" i="2" s="1"/>
  <c r="L13" i="2"/>
  <c r="K12" i="2"/>
  <c r="B33" i="2" s="1"/>
  <c r="G37" i="2" s="1"/>
  <c r="J33" i="2" s="1"/>
  <c r="N10" i="2"/>
  <c r="K10" i="2"/>
  <c r="B24" i="2" s="1"/>
  <c r="G41" i="2" s="1"/>
  <c r="J32" i="2" l="1"/>
  <c r="B34" i="2"/>
  <c r="G29" i="2"/>
  <c r="J31" i="2" s="1"/>
</calcChain>
</file>

<file path=xl/comments1.xml><?xml version="1.0" encoding="utf-8"?>
<comments xmlns="http://schemas.openxmlformats.org/spreadsheetml/2006/main">
  <authors>
    <author>Peter White</author>
  </authors>
  <commentList>
    <comment ref="K9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As N please.
</t>
        </r>
      </text>
    </comment>
    <comment ref="K10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As N please.</t>
        </r>
      </text>
    </comment>
    <comment ref="K11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Was targeting sodium. Want sulfate.</t>
        </r>
      </text>
    </comment>
    <comment ref="A19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Altered to reflect as N</t>
        </r>
      </text>
    </comment>
    <comment ref="A20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Altered to reflect as N</t>
        </r>
      </text>
    </comment>
    <comment ref="B23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Fulfill NO3-N req</t>
        </r>
      </text>
    </comment>
    <comment ref="B24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Fulfill NH3-N req
</t>
        </r>
      </text>
    </comment>
    <comment ref="B25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Fulfill Co req</t>
        </r>
      </text>
    </comment>
    <comment ref="B27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Fulfill Hg req
</t>
        </r>
      </text>
    </comment>
    <comment ref="B28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Add CuCN to fulfill 1/2.5 WAD CN target. The remainder should be as sodium cyanide.</t>
        </r>
      </text>
    </comment>
    <comment ref="B29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The rest of the WAD CN.  May need to make this with CuCN separately and add after dissolved.</t>
        </r>
      </text>
    </comment>
    <comment ref="B31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Let's say 10 ppm Fe from CN source.</t>
        </r>
      </text>
    </comment>
    <comment ref="B32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subtract Fe from K3Fe(CN)6
</t>
        </r>
      </text>
    </comment>
    <comment ref="B34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Add CuSO4 to fulfill Cu req. Subtract Copper added from CuCN</t>
        </r>
      </text>
    </comment>
    <comment ref="B35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All of the calcium less the calcium gained from Ca(NO3)2</t>
        </r>
      </text>
    </comment>
    <comment ref="B36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Some portion of the nitrate to reduce calcium imparted to the solution from Ca(NO3)2.
</t>
        </r>
      </text>
    </comment>
    <comment ref="B37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To target pH.
</t>
        </r>
      </text>
    </comment>
    <comment ref="B38" authorId="0">
      <text>
        <r>
          <rPr>
            <b/>
            <sz val="9"/>
            <color indexed="81"/>
            <rFont val="Tahoma"/>
            <family val="2"/>
          </rPr>
          <t>Peter White:</t>
        </r>
        <r>
          <rPr>
            <sz val="9"/>
            <color indexed="81"/>
            <rFont val="Tahoma"/>
            <family val="2"/>
          </rPr>
          <t xml:space="preserve">
Gotta add this very last after acid. Mass will depend on all other sulfate sources inc. sulfuric.</t>
        </r>
      </text>
    </comment>
  </commentList>
</comments>
</file>

<file path=xl/sharedStrings.xml><?xml version="1.0" encoding="utf-8"?>
<sst xmlns="http://schemas.openxmlformats.org/spreadsheetml/2006/main" count="144" uniqueCount="72">
  <si>
    <t>L</t>
  </si>
  <si>
    <t>Hg(CN)2</t>
  </si>
  <si>
    <t>Free</t>
  </si>
  <si>
    <t>WAD</t>
  </si>
  <si>
    <t>Total</t>
  </si>
  <si>
    <t>WAD CN</t>
  </si>
  <si>
    <t>Cu</t>
  </si>
  <si>
    <t>Hg</t>
  </si>
  <si>
    <t>Ca</t>
  </si>
  <si>
    <t>Na</t>
  </si>
  <si>
    <t>H2SO4</t>
  </si>
  <si>
    <t>Molar Mass</t>
  </si>
  <si>
    <t>% as cyanide</t>
  </si>
  <si>
    <t>pH</t>
  </si>
  <si>
    <t>mg/L</t>
  </si>
  <si>
    <t>--</t>
  </si>
  <si>
    <t>SO4</t>
  </si>
  <si>
    <t>% as target constituent</t>
  </si>
  <si>
    <t>Cyanide</t>
  </si>
  <si>
    <t>WAD CN From metals</t>
  </si>
  <si>
    <t>Tot CN from metals</t>
  </si>
  <si>
    <t>Final salt weights</t>
  </si>
  <si>
    <t>Volume</t>
  </si>
  <si>
    <t>g</t>
  </si>
  <si>
    <t>Target Characterization</t>
  </si>
  <si>
    <t>Calculated Cyanide Speciation</t>
  </si>
  <si>
    <t>SCN</t>
  </si>
  <si>
    <t>Fe (III)</t>
  </si>
  <si>
    <t>Fe (II)</t>
  </si>
  <si>
    <t>Co</t>
  </si>
  <si>
    <t>Mn</t>
  </si>
  <si>
    <t>Ni</t>
  </si>
  <si>
    <t>Zn</t>
  </si>
  <si>
    <t>Mg</t>
  </si>
  <si>
    <t>Salts</t>
  </si>
  <si>
    <t>Cobalt (II) Cyanide</t>
  </si>
  <si>
    <t>Potassium Tetracyanonickelate</t>
  </si>
  <si>
    <t>Copper Sulfate</t>
  </si>
  <si>
    <t>Ferrous Chloride</t>
  </si>
  <si>
    <t>Potassium Hexacyanocobaltate (III)</t>
  </si>
  <si>
    <t>Calcium Nitrate</t>
  </si>
  <si>
    <t>Ammonium Sulfate</t>
  </si>
  <si>
    <t>Sodium Sulfate</t>
  </si>
  <si>
    <t xml:space="preserve">Ferric Sulfate </t>
  </si>
  <si>
    <t>Potassium Ferricyanide</t>
  </si>
  <si>
    <t>Copper (I) Cyanide</t>
  </si>
  <si>
    <t>Calcium Carbonate</t>
  </si>
  <si>
    <t>Potassium Hexacyanocobaltate (II)</t>
  </si>
  <si>
    <t>Ferric Sulfate</t>
  </si>
  <si>
    <t>Potassium Ferriccyanide</t>
  </si>
  <si>
    <t xml:space="preserve">Sodium Sulfate </t>
  </si>
  <si>
    <t>sodium cyanide</t>
  </si>
  <si>
    <t>NO3-N</t>
  </si>
  <si>
    <t>Ammonia-N</t>
  </si>
  <si>
    <t>Reagents to add to achieve similiar characterization  (ordered by addition sequence)</t>
  </si>
  <si>
    <t>Fe in CN form</t>
  </si>
  <si>
    <t>Ca From Ca(NO3)2  (ref)</t>
  </si>
  <si>
    <t>Calcium gained Calcium Nitrate</t>
  </si>
  <si>
    <t>Copper gained from Copper Cyanide</t>
  </si>
  <si>
    <t>Sulfate from copper sulfate</t>
  </si>
  <si>
    <t>Sulfate from ammonium sulfate</t>
  </si>
  <si>
    <t>sulfate from ferric sulfate</t>
  </si>
  <si>
    <t>Sulfate from sulfuric acid</t>
  </si>
  <si>
    <t>% as sulfate</t>
  </si>
  <si>
    <t>% as calcium</t>
  </si>
  <si>
    <t>Ferrocyanide?</t>
  </si>
  <si>
    <t>10% of iron [III] as CN-bound</t>
  </si>
  <si>
    <t>10% of iron [II] as CN-bound</t>
  </si>
  <si>
    <t>CN:Cu</t>
  </si>
  <si>
    <t>g:g</t>
  </si>
  <si>
    <t>mol:mol</t>
  </si>
  <si>
    <t>Nitric 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</si>
</sst>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0.000"/>
    <numFmt numFmtId="165" formatCode="0.0000"/>
    <numFmt numFmtId="166" formatCode="0.0"/>
    <numFmt numFmtId="167" formatCode="0.000000"/>
    <numFmt numFmtId="168" formatCode="0.00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0" fillId="0" borderId="0" xfId="0" applyAlignment="1"/>
    <xf numFmtId="9" fontId="0" fillId="0" borderId="0" xfId="1" applyFont="1"/>
    <xf numFmtId="0" fontId="3" fillId="0" borderId="0" xfId="0" applyFont="1"/>
    <xf numFmtId="0" fontId="0" fillId="0" borderId="0" xfId="0" applyNumberFormat="1"/>
    <xf numFmtId="165" fontId="0" fillId="0" borderId="0" xfId="0" applyNumberFormat="1"/>
    <xf numFmtId="2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9" fontId="0" fillId="0" borderId="0" xfId="1" applyFont="1" applyAlignment="1"/>
    <xf numFmtId="43" fontId="0" fillId="0" borderId="0" xfId="2" applyFont="1" applyAlignme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0" fillId="2" borderId="0" xfId="0" applyFill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66" fontId="0" fillId="0" borderId="0" xfId="0" applyNumberFormat="1" applyFont="1" applyAlignment="1">
      <alignment horizontal="center" vertical="center"/>
    </xf>
    <xf numFmtId="0" fontId="2" fillId="0" borderId="0" xfId="0" applyNumberFormat="1" applyFont="1"/>
    <xf numFmtId="166" fontId="0" fillId="3" borderId="0" xfId="1" applyNumberFormat="1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N46"/>
  <sheetViews>
    <sheetView tabSelected="1" zoomScale="85" zoomScaleNormal="85" workbookViewId="0">
      <selection activeCell="E23" sqref="E23"/>
    </sheetView>
  </sheetViews>
  <sheetFormatPr defaultRowHeight="15" x14ac:dyDescent="0.25"/>
  <cols>
    <col min="1" max="1" width="47.5703125" bestFit="1" customWidth="1"/>
    <col min="2" max="2" width="17.85546875" customWidth="1"/>
    <col min="4" max="4" width="20.7109375" bestFit="1" customWidth="1"/>
    <col min="5" max="5" width="10.7109375" bestFit="1" customWidth="1"/>
    <col min="6" max="6" width="34.5703125" bestFit="1" customWidth="1"/>
    <col min="7" max="7" width="10.140625" customWidth="1"/>
    <col min="8" max="8" width="8.85546875" customWidth="1"/>
    <col min="9" max="9" width="34.5703125" bestFit="1" customWidth="1"/>
    <col min="10" max="10" width="11.85546875" bestFit="1" customWidth="1"/>
    <col min="11" max="11" width="22.7109375" bestFit="1" customWidth="1"/>
    <col min="12" max="12" width="12.85546875" bestFit="1" customWidth="1"/>
    <col min="14" max="14" width="10.28515625" customWidth="1"/>
  </cols>
  <sheetData>
    <row r="1" spans="1:14" x14ac:dyDescent="0.25">
      <c r="A1" s="24"/>
      <c r="B1" s="17"/>
      <c r="C1" s="17"/>
      <c r="E1" s="37" t="s">
        <v>25</v>
      </c>
      <c r="F1" s="37"/>
      <c r="G1" s="37"/>
      <c r="I1" s="5" t="s">
        <v>34</v>
      </c>
      <c r="J1" s="6" t="s">
        <v>11</v>
      </c>
      <c r="K1" s="6" t="s">
        <v>17</v>
      </c>
      <c r="L1" s="6" t="s">
        <v>12</v>
      </c>
      <c r="M1" s="6" t="s">
        <v>64</v>
      </c>
      <c r="N1" s="6" t="s">
        <v>63</v>
      </c>
    </row>
    <row r="2" spans="1:14" x14ac:dyDescent="0.25">
      <c r="A2" s="17"/>
      <c r="B2" s="17"/>
      <c r="C2" s="17"/>
      <c r="E2" s="1" t="s">
        <v>2</v>
      </c>
      <c r="F2" s="1" t="s">
        <v>3</v>
      </c>
      <c r="G2" s="1" t="s">
        <v>4</v>
      </c>
      <c r="I2" s="1" t="s">
        <v>35</v>
      </c>
      <c r="J2" s="6">
        <f>58.933+2*26+36.034</f>
        <v>146.96699999999998</v>
      </c>
      <c r="K2" s="15">
        <f>58.933/J2</f>
        <v>0.40099478114134468</v>
      </c>
      <c r="L2" s="15">
        <f>1-K2</f>
        <v>0.59900521885865532</v>
      </c>
      <c r="M2" s="6"/>
      <c r="N2" s="6"/>
    </row>
    <row r="3" spans="1:14" x14ac:dyDescent="0.25">
      <c r="A3" s="38" t="s">
        <v>24</v>
      </c>
      <c r="B3" s="38"/>
      <c r="C3" s="17"/>
      <c r="D3" s="8"/>
      <c r="E3" s="12" t="e">
        <f>#REF!*L6</f>
        <v>#REF!</v>
      </c>
      <c r="F3" s="12" t="e">
        <f>#REF!*L6+G7</f>
        <v>#REF!</v>
      </c>
      <c r="G3" s="11" t="e">
        <f>G8+F3</f>
        <v>#REF!</v>
      </c>
      <c r="I3" s="1" t="s">
        <v>36</v>
      </c>
      <c r="J3" s="6">
        <f>2*39.098+58.693+4*26+18.017</f>
        <v>258.90600000000001</v>
      </c>
      <c r="K3" s="15">
        <f>58.693/J3</f>
        <v>0.22669617544591472</v>
      </c>
      <c r="L3" s="15">
        <f>26*4/J3</f>
        <v>0.40169018871714057</v>
      </c>
      <c r="M3" s="6"/>
      <c r="N3" s="6"/>
    </row>
    <row r="4" spans="1:14" x14ac:dyDescent="0.25">
      <c r="A4" s="17" t="s">
        <v>5</v>
      </c>
      <c r="B4" s="22">
        <v>0.59499999999999997</v>
      </c>
      <c r="C4" s="17" t="s">
        <v>14</v>
      </c>
      <c r="I4" s="1" t="s">
        <v>37</v>
      </c>
      <c r="J4" s="6">
        <f>63.546+32.06+4*15.999+5*18.017</f>
        <v>249.68700000000001</v>
      </c>
      <c r="K4" s="15">
        <f>63.546/J4</f>
        <v>0.25450263730190198</v>
      </c>
      <c r="L4" s="15">
        <v>0</v>
      </c>
      <c r="N4" s="15">
        <f>96.028/J4</f>
        <v>0.38459351107586698</v>
      </c>
    </row>
    <row r="5" spans="1:14" x14ac:dyDescent="0.25">
      <c r="A5" s="17" t="s">
        <v>6</v>
      </c>
      <c r="B5" s="22">
        <v>19.082699999999999</v>
      </c>
      <c r="C5" s="17" t="s">
        <v>14</v>
      </c>
      <c r="I5" s="1" t="s">
        <v>38</v>
      </c>
      <c r="J5">
        <f>55.845+2*35.45+2*18.017</f>
        <v>162.779</v>
      </c>
      <c r="K5" s="15">
        <f>55.845/J5</f>
        <v>0.34307250935317207</v>
      </c>
      <c r="L5" s="15">
        <v>0</v>
      </c>
    </row>
    <row r="6" spans="1:14" x14ac:dyDescent="0.25">
      <c r="A6" s="17" t="s">
        <v>27</v>
      </c>
      <c r="B6" s="22">
        <v>36.57</v>
      </c>
      <c r="C6" s="17" t="s">
        <v>14</v>
      </c>
      <c r="F6" s="18" t="s">
        <v>18</v>
      </c>
      <c r="G6" s="31"/>
      <c r="H6" s="31"/>
      <c r="I6" s="1" t="s">
        <v>39</v>
      </c>
      <c r="J6" s="6">
        <f>3*39.098+58.933+6*26</f>
        <v>332.22699999999998</v>
      </c>
      <c r="K6" s="15">
        <f>58.933/J6</f>
        <v>0.17738774994205769</v>
      </c>
      <c r="L6" s="15">
        <f>26*6/J6</f>
        <v>0.469558464543821</v>
      </c>
      <c r="M6" s="6"/>
      <c r="N6" s="6"/>
    </row>
    <row r="7" spans="1:14" x14ac:dyDescent="0.25">
      <c r="A7" s="17" t="s">
        <v>28</v>
      </c>
      <c r="B7" s="22">
        <v>12.19</v>
      </c>
      <c r="C7" s="17" t="s">
        <v>14</v>
      </c>
      <c r="F7" s="17" t="s">
        <v>19</v>
      </c>
      <c r="G7" s="20">
        <f>(B28/J14*26)+(B27/J7*26*2)+(B29/J16*26)</f>
        <v>0.94646318360835524</v>
      </c>
      <c r="H7" s="17" t="s">
        <v>14</v>
      </c>
      <c r="I7" s="1" t="s">
        <v>1</v>
      </c>
      <c r="J7" s="6">
        <f>200.59+26*2</f>
        <v>252.59</v>
      </c>
      <c r="K7" s="15">
        <f>200.59/J7</f>
        <v>0.79413278435409163</v>
      </c>
      <c r="L7" s="15">
        <f>1-K7</f>
        <v>0.20586721564590837</v>
      </c>
      <c r="M7" s="6"/>
      <c r="N7" s="6"/>
    </row>
    <row r="8" spans="1:14" x14ac:dyDescent="0.25">
      <c r="A8" s="17" t="s">
        <v>7</v>
      </c>
      <c r="B8" s="22">
        <v>0.47</v>
      </c>
      <c r="C8" s="17" t="s">
        <v>14</v>
      </c>
      <c r="F8" s="17" t="s">
        <v>20</v>
      </c>
      <c r="G8" s="20">
        <f>B25*L2+B26*L3+B30*L6+B31*L13</f>
        <v>6.259034967023605</v>
      </c>
      <c r="H8" s="17" t="s">
        <v>14</v>
      </c>
      <c r="I8" s="1" t="s">
        <v>10</v>
      </c>
      <c r="J8" s="6">
        <f>32+16*4+2</f>
        <v>98</v>
      </c>
      <c r="K8" s="15">
        <f>96/J8</f>
        <v>0.97959183673469385</v>
      </c>
      <c r="L8" s="6">
        <v>0</v>
      </c>
      <c r="M8" s="16"/>
      <c r="N8" s="6"/>
    </row>
    <row r="9" spans="1:14" x14ac:dyDescent="0.25">
      <c r="A9" s="17" t="s">
        <v>8</v>
      </c>
      <c r="B9" s="22">
        <v>394</v>
      </c>
      <c r="C9" s="17" t="s">
        <v>14</v>
      </c>
      <c r="I9" s="1" t="s">
        <v>40</v>
      </c>
      <c r="J9" s="6">
        <f>40.078+2*14.007+6*15.999+4*18.017</f>
        <v>236.154</v>
      </c>
      <c r="K9" s="15">
        <f>14/J9</f>
        <v>5.9283349001075569E-2</v>
      </c>
      <c r="L9" s="6">
        <f>0</f>
        <v>0</v>
      </c>
      <c r="M9" s="15">
        <f>40.078/J9</f>
        <v>0.16971129009036479</v>
      </c>
      <c r="N9" s="6"/>
    </row>
    <row r="10" spans="1:14" x14ac:dyDescent="0.25">
      <c r="A10" s="17" t="s">
        <v>9</v>
      </c>
      <c r="B10" s="22">
        <v>355</v>
      </c>
      <c r="C10" s="17" t="s">
        <v>14</v>
      </c>
      <c r="I10" s="1" t="s">
        <v>41</v>
      </c>
      <c r="J10" s="6">
        <f>8*1.008+2*14.007+4*15.999+32.06</f>
        <v>132.13400000000001</v>
      </c>
      <c r="K10" s="15">
        <f>14/J10</f>
        <v>0.10595304766373528</v>
      </c>
      <c r="L10" s="6">
        <f>0</f>
        <v>0</v>
      </c>
      <c r="M10" s="15"/>
      <c r="N10" s="15">
        <f>96.028/J10</f>
        <v>0.72674709007522664</v>
      </c>
    </row>
    <row r="11" spans="1:14" x14ac:dyDescent="0.25">
      <c r="A11" s="17" t="s">
        <v>13</v>
      </c>
      <c r="B11" s="22">
        <v>3.24</v>
      </c>
      <c r="C11" s="19" t="s">
        <v>15</v>
      </c>
      <c r="I11" s="1" t="s">
        <v>42</v>
      </c>
      <c r="J11" s="6">
        <f>2*22.99+32.06+4*15.999</f>
        <v>142.036</v>
      </c>
      <c r="K11" s="15">
        <f>96/J11</f>
        <v>0.67588498690472842</v>
      </c>
      <c r="L11" s="6">
        <f>0</f>
        <v>0</v>
      </c>
      <c r="M11" s="6"/>
      <c r="N11" s="6"/>
    </row>
    <row r="12" spans="1:14" x14ac:dyDescent="0.25">
      <c r="A12" s="17" t="s">
        <v>16</v>
      </c>
      <c r="B12" s="22">
        <v>4561</v>
      </c>
      <c r="C12" s="17" t="s">
        <v>14</v>
      </c>
      <c r="F12" s="9"/>
      <c r="I12" s="1" t="s">
        <v>43</v>
      </c>
      <c r="J12" s="6">
        <f>2*55.845+3*96.06+5*18.017</f>
        <v>489.95499999999998</v>
      </c>
      <c r="K12" s="15">
        <f>55.845/J12</f>
        <v>0.11397985529283301</v>
      </c>
      <c r="L12" s="6">
        <f>0</f>
        <v>0</v>
      </c>
      <c r="M12" s="15"/>
      <c r="N12" s="15">
        <f>96.028/J12</f>
        <v>0.19599350960802525</v>
      </c>
    </row>
    <row r="13" spans="1:14" x14ac:dyDescent="0.25">
      <c r="A13" s="17" t="s">
        <v>26</v>
      </c>
      <c r="B13" s="22">
        <v>0</v>
      </c>
      <c r="C13" s="17" t="s">
        <v>14</v>
      </c>
      <c r="E13" s="9"/>
      <c r="F13" s="9"/>
      <c r="I13" s="1" t="s">
        <v>44</v>
      </c>
      <c r="J13">
        <f>6*12.011+55.845+3*39.098+6*14.007</f>
        <v>329.24699999999996</v>
      </c>
      <c r="K13" s="15">
        <f>55.845/J13</f>
        <v>0.1696143017248449</v>
      </c>
      <c r="L13" s="15">
        <f>26/J13</f>
        <v>7.8968069564794824E-2</v>
      </c>
      <c r="M13" s="6"/>
      <c r="N13" s="6"/>
    </row>
    <row r="14" spans="1:14" x14ac:dyDescent="0.25">
      <c r="A14" s="27" t="s">
        <v>29</v>
      </c>
      <c r="B14" s="22">
        <v>0.32300000000000001</v>
      </c>
      <c r="C14" s="28" t="s">
        <v>14</v>
      </c>
      <c r="I14" s="1" t="s">
        <v>45</v>
      </c>
      <c r="J14">
        <f>63.546+26</f>
        <v>89.545999999999992</v>
      </c>
      <c r="K14" s="7">
        <f>63.546/J14</f>
        <v>0.70964643870189625</v>
      </c>
      <c r="L14" s="15">
        <f>1-K14</f>
        <v>0.29035356129810375</v>
      </c>
    </row>
    <row r="15" spans="1:14" x14ac:dyDescent="0.25">
      <c r="A15" s="27" t="s">
        <v>30</v>
      </c>
      <c r="B15" s="22">
        <v>0</v>
      </c>
      <c r="C15" s="28" t="s">
        <v>14</v>
      </c>
      <c r="I15" s="1" t="s">
        <v>46</v>
      </c>
      <c r="J15">
        <f>40.078+12.011+3*15.999</f>
        <v>100.086</v>
      </c>
      <c r="K15" s="7">
        <f>40.078/J15</f>
        <v>0.40043562536218857</v>
      </c>
      <c r="L15">
        <v>0</v>
      </c>
    </row>
    <row r="16" spans="1:14" x14ac:dyDescent="0.25">
      <c r="A16" s="27" t="s">
        <v>31</v>
      </c>
      <c r="B16" s="22">
        <v>0.15</v>
      </c>
      <c r="C16" s="28" t="s">
        <v>14</v>
      </c>
      <c r="I16" s="1" t="s">
        <v>51</v>
      </c>
      <c r="J16">
        <f>23+14+12</f>
        <v>49</v>
      </c>
      <c r="K16" s="7">
        <f>23/49</f>
        <v>0.46938775510204084</v>
      </c>
      <c r="L16" s="7">
        <f>(14+12)/J16</f>
        <v>0.53061224489795922</v>
      </c>
    </row>
    <row r="17" spans="1:14" x14ac:dyDescent="0.25">
      <c r="A17" s="27" t="s">
        <v>32</v>
      </c>
      <c r="B17" s="22">
        <v>0</v>
      </c>
      <c r="C17" s="28" t="s">
        <v>14</v>
      </c>
    </row>
    <row r="18" spans="1:14" x14ac:dyDescent="0.25">
      <c r="A18" s="27" t="s">
        <v>33</v>
      </c>
      <c r="B18" s="22">
        <v>0</v>
      </c>
      <c r="C18" s="28" t="s">
        <v>14</v>
      </c>
    </row>
    <row r="19" spans="1:14" x14ac:dyDescent="0.25">
      <c r="A19" s="30" t="s">
        <v>52</v>
      </c>
      <c r="B19" s="22">
        <v>183</v>
      </c>
      <c r="C19" s="30" t="s">
        <v>14</v>
      </c>
    </row>
    <row r="20" spans="1:14" x14ac:dyDescent="0.25">
      <c r="A20" s="30" t="s">
        <v>53</v>
      </c>
      <c r="B20" s="22">
        <v>33.799999999999997</v>
      </c>
      <c r="C20" s="30" t="s">
        <v>14</v>
      </c>
    </row>
    <row r="21" spans="1:14" x14ac:dyDescent="0.25">
      <c r="A21" s="17"/>
      <c r="B21" s="17"/>
      <c r="C21" s="17"/>
      <c r="D21" s="9"/>
      <c r="E21" s="9"/>
      <c r="F21" s="14"/>
    </row>
    <row r="22" spans="1:14" x14ac:dyDescent="0.25">
      <c r="A22" s="23" t="s">
        <v>54</v>
      </c>
      <c r="B22" s="17"/>
      <c r="C22" s="17"/>
      <c r="D22" s="35" t="s">
        <v>56</v>
      </c>
      <c r="E22" s="9"/>
      <c r="F22" s="9"/>
    </row>
    <row r="23" spans="1:14" x14ac:dyDescent="0.25">
      <c r="A23" s="17" t="s">
        <v>40</v>
      </c>
      <c r="B23" s="20">
        <f>B19/K9</f>
        <v>3086.870142857143</v>
      </c>
      <c r="C23" s="17" t="s">
        <v>14</v>
      </c>
      <c r="D23" s="36">
        <f>B23/J9*40</f>
        <v>522.85714285714289</v>
      </c>
      <c r="E23" s="7">
        <f>(D23+40-B9)/D23</f>
        <v>0.32295081967213118</v>
      </c>
    </row>
    <row r="24" spans="1:14" x14ac:dyDescent="0.25">
      <c r="A24" s="17" t="s">
        <v>41</v>
      </c>
      <c r="B24" s="20">
        <f>B20/K10</f>
        <v>319.00922857142859</v>
      </c>
      <c r="C24" s="17" t="s">
        <v>14</v>
      </c>
      <c r="D24" s="10"/>
      <c r="F24" s="9"/>
    </row>
    <row r="25" spans="1:14" x14ac:dyDescent="0.25">
      <c r="A25" s="17" t="s">
        <v>35</v>
      </c>
      <c r="B25" s="3">
        <f>B14/K2</f>
        <v>0.80549676751565336</v>
      </c>
      <c r="C25" s="17" t="s">
        <v>14</v>
      </c>
      <c r="F25" s="5" t="s">
        <v>21</v>
      </c>
    </row>
    <row r="26" spans="1:14" x14ac:dyDescent="0.25">
      <c r="A26" s="17" t="s">
        <v>36</v>
      </c>
      <c r="B26" s="3">
        <f>B16/K3</f>
        <v>0.6616785647351473</v>
      </c>
      <c r="C26" s="17" t="s">
        <v>14</v>
      </c>
      <c r="D26" s="13"/>
      <c r="F26" s="1" t="s">
        <v>22</v>
      </c>
      <c r="G26" s="25">
        <v>40</v>
      </c>
      <c r="H26" t="s">
        <v>0</v>
      </c>
      <c r="I26" t="s">
        <v>57</v>
      </c>
      <c r="J26">
        <f>G40*M9/G26*1000</f>
        <v>523.87671428571434</v>
      </c>
      <c r="K26" t="s">
        <v>14</v>
      </c>
    </row>
    <row r="27" spans="1:14" x14ac:dyDescent="0.25">
      <c r="A27" s="17" t="s">
        <v>1</v>
      </c>
      <c r="B27" s="3">
        <f>B8/K7</f>
        <v>0.5918405703175631</v>
      </c>
      <c r="C27" s="17" t="s">
        <v>14</v>
      </c>
      <c r="D27" s="9"/>
      <c r="F27" s="1" t="s">
        <v>35</v>
      </c>
      <c r="G27" s="2">
        <f>B25*G26/1000</f>
        <v>3.2219870700626131E-2</v>
      </c>
      <c r="H27" t="s">
        <v>23</v>
      </c>
      <c r="L27">
        <v>63.55</v>
      </c>
      <c r="M27">
        <f>14+12</f>
        <v>26</v>
      </c>
    </row>
    <row r="28" spans="1:14" x14ac:dyDescent="0.25">
      <c r="A28" s="31" t="s">
        <v>45</v>
      </c>
      <c r="B28" s="3">
        <f>B4/2.5/L14</f>
        <v>0.81969030769230766</v>
      </c>
      <c r="C28" s="17" t="s">
        <v>14</v>
      </c>
      <c r="F28" s="1" t="s">
        <v>36</v>
      </c>
      <c r="G28" s="2">
        <f>B26*G26/1000</f>
        <v>2.6467142589405891E-2</v>
      </c>
      <c r="H28" t="s">
        <v>23</v>
      </c>
      <c r="I28" t="s">
        <v>58</v>
      </c>
      <c r="J28">
        <f>G33*K14/G26*1000</f>
        <v>0.58169030769230778</v>
      </c>
      <c r="K28" t="s">
        <v>14</v>
      </c>
      <c r="L28" t="s">
        <v>68</v>
      </c>
      <c r="M28">
        <f>(B28*L14+B29*L16)/J28</f>
        <v>1.4176316888659355</v>
      </c>
      <c r="N28" t="s">
        <v>69</v>
      </c>
    </row>
    <row r="29" spans="1:14" x14ac:dyDescent="0.25">
      <c r="A29" s="33" t="s">
        <v>51</v>
      </c>
      <c r="B29" s="2">
        <f>(B4*(2.5-1)/2.5/L16)+(B27/J7*2*J16/L16)</f>
        <v>1.105558001971108</v>
      </c>
      <c r="C29" s="33" t="s">
        <v>14</v>
      </c>
      <c r="F29" s="1" t="s">
        <v>37</v>
      </c>
      <c r="G29" s="2">
        <f>(B5-J28)/K4*G26/1000</f>
        <v>2.9077906442849146</v>
      </c>
      <c r="H29" t="s">
        <v>23</v>
      </c>
      <c r="M29">
        <f>(B29/J16+B28/J14)/(B28/J14)</f>
        <v>3.4648008961797983</v>
      </c>
      <c r="N29" t="s">
        <v>70</v>
      </c>
    </row>
    <row r="30" spans="1:14" x14ac:dyDescent="0.25">
      <c r="A30" s="17" t="s">
        <v>47</v>
      </c>
      <c r="B30" s="21">
        <f>B14/K6</f>
        <v>1.8208698182682028</v>
      </c>
      <c r="C30" s="17" t="s">
        <v>14</v>
      </c>
      <c r="D30" s="4" t="s">
        <v>55</v>
      </c>
      <c r="F30" s="1" t="s">
        <v>38</v>
      </c>
      <c r="G30" s="2">
        <f>B32*G26/1000</f>
        <v>3.0978873883069213</v>
      </c>
      <c r="H30" t="s">
        <v>23</v>
      </c>
    </row>
    <row r="31" spans="1:14" x14ac:dyDescent="0.25">
      <c r="A31" s="31" t="s">
        <v>49</v>
      </c>
      <c r="B31" s="20">
        <f>D31/K13</f>
        <v>58.957292506043501</v>
      </c>
      <c r="C31" s="31" t="s">
        <v>14</v>
      </c>
      <c r="D31">
        <v>10</v>
      </c>
      <c r="F31" s="1" t="s">
        <v>39</v>
      </c>
      <c r="G31" s="2">
        <f>B30*G26/1000</f>
        <v>7.2834792730728112E-2</v>
      </c>
      <c r="H31" t="s">
        <v>23</v>
      </c>
      <c r="I31" t="s">
        <v>59</v>
      </c>
      <c r="J31">
        <f>G29*N4/G26*1000</f>
        <v>27.957935333977318</v>
      </c>
    </row>
    <row r="32" spans="1:14" x14ac:dyDescent="0.25">
      <c r="A32" s="17" t="s">
        <v>38</v>
      </c>
      <c r="B32" s="20">
        <f>(B6-D31)/K5</f>
        <v>77.447184707673031</v>
      </c>
      <c r="C32" s="17" t="s">
        <v>14</v>
      </c>
      <c r="F32" s="1" t="s">
        <v>1</v>
      </c>
      <c r="G32" s="2">
        <f>B27*G26/1000</f>
        <v>2.3673622812702525E-2</v>
      </c>
      <c r="H32" t="s">
        <v>23</v>
      </c>
      <c r="I32" t="s">
        <v>60</v>
      </c>
      <c r="J32">
        <f>G41*N10/G26*1000</f>
        <v>231.8390285714286</v>
      </c>
    </row>
    <row r="33" spans="1:10" x14ac:dyDescent="0.25">
      <c r="A33" s="17" t="s">
        <v>48</v>
      </c>
      <c r="B33" s="3">
        <f>B7/K12</f>
        <v>106.94872325185781</v>
      </c>
      <c r="C33" s="29" t="s">
        <v>14</v>
      </c>
      <c r="F33" s="1" t="s">
        <v>45</v>
      </c>
      <c r="G33" s="2">
        <f>B28*G26/1000</f>
        <v>3.278761230769231E-2</v>
      </c>
      <c r="H33" t="s">
        <v>23</v>
      </c>
      <c r="I33" t="s">
        <v>61</v>
      </c>
      <c r="J33">
        <f>G37*N12/G26*1000</f>
        <v>20.961255618229028</v>
      </c>
    </row>
    <row r="34" spans="1:10" x14ac:dyDescent="0.25">
      <c r="A34" s="17" t="s">
        <v>37</v>
      </c>
      <c r="B34" s="3">
        <f>(B5-J28)/K4</f>
        <v>72.694766107122874</v>
      </c>
      <c r="C34" s="17" t="s">
        <v>14</v>
      </c>
      <c r="F34" s="1" t="s">
        <v>51</v>
      </c>
      <c r="G34" s="26">
        <f>B29*G26/1000</f>
        <v>4.4222320078844322E-2</v>
      </c>
      <c r="H34" t="s">
        <v>23</v>
      </c>
      <c r="I34" t="s">
        <v>62</v>
      </c>
    </row>
    <row r="35" spans="1:10" x14ac:dyDescent="0.25">
      <c r="A35" s="17" t="s">
        <v>46</v>
      </c>
      <c r="B35" s="39">
        <v>100</v>
      </c>
      <c r="C35" s="17" t="s">
        <v>14</v>
      </c>
    </row>
    <row r="36" spans="1:10" x14ac:dyDescent="0.25">
      <c r="A36" s="33" t="s">
        <v>71</v>
      </c>
    </row>
    <row r="37" spans="1:10" x14ac:dyDescent="0.25">
      <c r="A37" s="17" t="s">
        <v>10</v>
      </c>
      <c r="B37" s="17"/>
      <c r="C37" s="17" t="s">
        <v>14</v>
      </c>
      <c r="F37" s="1" t="s">
        <v>48</v>
      </c>
      <c r="G37" s="26">
        <f>B33*G26/1000</f>
        <v>4.277948930074313</v>
      </c>
      <c r="H37" t="s">
        <v>23</v>
      </c>
    </row>
    <row r="38" spans="1:10" x14ac:dyDescent="0.25">
      <c r="A38" s="17" t="s">
        <v>42</v>
      </c>
      <c r="B38" s="20"/>
      <c r="C38" s="17" t="s">
        <v>14</v>
      </c>
      <c r="F38" s="1" t="s">
        <v>44</v>
      </c>
      <c r="G38" s="2">
        <f>B31*G26/1000</f>
        <v>2.3582917002417396</v>
      </c>
      <c r="H38" t="s">
        <v>23</v>
      </c>
      <c r="I38" t="s">
        <v>66</v>
      </c>
    </row>
    <row r="39" spans="1:10" x14ac:dyDescent="0.25">
      <c r="F39" s="1" t="s">
        <v>65</v>
      </c>
      <c r="I39" t="s">
        <v>67</v>
      </c>
    </row>
    <row r="40" spans="1:10" x14ac:dyDescent="0.25">
      <c r="F40" s="1" t="s">
        <v>40</v>
      </c>
      <c r="G40" s="3">
        <f>B23*G26/1000</f>
        <v>123.47480571428572</v>
      </c>
      <c r="H40" t="s">
        <v>23</v>
      </c>
    </row>
    <row r="41" spans="1:10" x14ac:dyDescent="0.25">
      <c r="F41" s="1" t="s">
        <v>41</v>
      </c>
      <c r="G41" s="3">
        <f>B24*G26/1000</f>
        <v>12.760369142857144</v>
      </c>
      <c r="H41" t="s">
        <v>23</v>
      </c>
    </row>
    <row r="42" spans="1:10" x14ac:dyDescent="0.25">
      <c r="F42" s="1" t="s">
        <v>50</v>
      </c>
      <c r="G42" s="21">
        <f>B38*G26/1000</f>
        <v>0</v>
      </c>
      <c r="H42" t="s">
        <v>23</v>
      </c>
    </row>
    <row r="43" spans="1:10" x14ac:dyDescent="0.25">
      <c r="F43" s="1" t="s">
        <v>46</v>
      </c>
      <c r="G43" s="34">
        <f>(B9-J26)/K15*G26/1000</f>
        <v>-12.97354241828435</v>
      </c>
      <c r="H43" s="32" t="s">
        <v>23</v>
      </c>
    </row>
    <row r="45" spans="1:10" x14ac:dyDescent="0.25">
      <c r="A45" s="18"/>
      <c r="B45" s="17"/>
      <c r="C45" s="17"/>
    </row>
    <row r="46" spans="1:10" x14ac:dyDescent="0.25">
      <c r="A46" s="17"/>
      <c r="B46" s="20"/>
      <c r="C46" s="17"/>
    </row>
  </sheetData>
  <mergeCells count="2">
    <mergeCell ref="E1:G1"/>
    <mergeCell ref="A3:B3"/>
  </mergeCells>
  <pageMargins left="0.7" right="0.7" top="0.75" bottom="0.75" header="0.3" footer="0.3"/>
  <pageSetup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Synthetic solution</vt:lpstr>
    </vt:vector>
  </TitlesOfParts>
  <Company>Newmont Mining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White</dc:creator>
  <cp:lastModifiedBy>Peter White</cp:lastModifiedBy>
  <cp:lastPrinted>2015-07-14T22:03:39Z</cp:lastPrinted>
  <dcterms:created xsi:type="dcterms:W3CDTF">2013-11-21T18:03:04Z</dcterms:created>
  <dcterms:modified xsi:type="dcterms:W3CDTF">2019-05-31T15:15:09Z</dcterms:modified>
</cp:coreProperties>
</file>